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<sst xmlns="http://schemas.openxmlformats.org/spreadsheetml/2006/main" count="391" uniqueCount="286">
  <si>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</si>
  <si>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</si>
  <si>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</si>
  <si>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</si>
  <si>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</si>
  <si>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</si>
  <si>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</si>
  <si>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</si>
  <si>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</si>
  <si>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</si>
  <si>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</si>
  <si>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</si>
  <si>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</si>
  <si>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</si>
  <si>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</si>
  <si>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</si>
  <si>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</si>
  <si>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</si>
  <si>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</si>
  <si>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</si>
  <si>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</si>
  <si>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</si>
  <si>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</si>
  <si>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</si>
  <si>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</si>
  <si>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</si>
  <si>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</si>
  <si>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</si>
  <si>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</si>
  <si>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</si>
  <si>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</si>
  <si>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</si>
  <si>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</si>
  <si>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</si>
  <si>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</si>
  <si>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</si>
  <si>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</si>
  <si>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</si>
  <si>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</si>
  <si>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</si>
  <si>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</si>
  <si>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</si>
  <si>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</si>
  <si>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</si>
  <si>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</si>
  <si>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</si>
  <si>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</si>
  <si>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</si>
  <si>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</si>
  <si>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</si>
  <si>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</si>
  <si>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</si>
  <si>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</si>
  <si>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</si>
  <si>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</si>
  <si>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</si>
  <si>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</si>
  <si>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</si>
  <si>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</si>
  <si>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</si>
  <si>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</si>
  <si>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</si>
  <si>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</si>
  <si>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</si>
  <si>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</si>
  <si>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</si>
  <si>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</si>
  <si>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</si>
  <si>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</si>
  <si>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</si>
  <si>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</si>
  <si>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</si>
  <si>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</si>
  <si>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</si>
  <si>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</si>
  <si>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</si>
  <si>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</si>
  <si>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</si>
  <si>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</si>
  <si>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</si>
  <si>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</si>
  <si>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</si>
  <si>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</si>
  <si>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</si>
  <si>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</si>
  <si>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</si>
  <si>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</si>
  <si>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</si>
  <si>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</si>
  <si>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</si>
  <si>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</si>
  <si>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</si>
  <si>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</si>
  <si>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</si>
  <si>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</si>
  <si>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</si>
  <si>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</si>
  <si>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</si>
  <si>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</si>
  <si>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</si>
  <si>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</si>
  <si>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</si>
  <si>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</si>
  <si>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</si>
  <si>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</si>
  <si>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</si>
  <si>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</si>
  <si>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</si>
  <si>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</si>
  <si>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</si>
  <si>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</si>
  <si>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</si>
  <si>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</si>
  <si>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</si>
  <si>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</si>
  <si>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</si>
  <si>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</si>
  <si>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</si>
  <si>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</si>
  <si>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</si>
  <si>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</si>
  <si>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</si>
  <si>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</si>
  <si>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</si>
  <si>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</si>
  <si>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</si>
  <si>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</si>
  <si>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</si>
  <si>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</si>
  <si>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</si>
  <si>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</si>
  <si>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</si>
  <si>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</si>
  <si>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</si>
  <si>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</si>
  <si>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</si>
  <si>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</si>
  <si>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</si>
  <si>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</si>
  <si>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</si>
  <si>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</si>
  <si>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</si>
  <si>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</si>
  <si>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</si>
  <si>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</si>
  <si>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</si>
  <si>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</si>
  <si>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</si>
  <si>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</si>
  <si>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</si>
  <si>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</si>
  <si>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</si>
  <si>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</si>
  <si>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</si>
  <si>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</si>
  <si>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</si>
  <si>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</si>
  <si>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</si>
  <si>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</si>
  <si>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</si>
  <si>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</si>
  <si>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</si>
  <si>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</si>
  <si>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</si>
  <si>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</si>
  <si>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</si>
  <si>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</si>
  <si>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</si>
  <si>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</si>
  <si>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</si>
  <si>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</si>
  <si>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</si>
  <si>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</si>
  <si>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</si>
  <si>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</si>
  <si>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</si>
  <si>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</si>
  <si>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</si>
  <si>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</si>
  <si>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</si>
  <si>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</si>
  <si>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</si>
  <si>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</si>
  <si>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</si>
  <si>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</si>
  <si>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</si>
  <si>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</si>
  <si>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</si>
  <si>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</si>
  <si>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</si>
  <si>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</si>
  <si>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</si>
  <si>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</si>
  <si>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</si>
  <si>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</si>
  <si>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</si>
  <si>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</si>
  <si>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</si>
  <si>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</si>
  <si>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</si>
  <si>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</si>
  <si>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</si>
  <si>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</si>
  <si>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</si>
  <si>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</si>
  <si>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</si>
  <si>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</si>
  <si>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</si>
  <si>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</si>
  <si>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</si>
  <si>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</si>
  <si>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</si>
  <si>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</si>
  <si>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</si>
  <si>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</si>
  <si>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</si>
  <si>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</si>
  <si>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</si>
  <si>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</si>
  <si>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</si>
  <si>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</si>
  <si>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</si>
  <si>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</si>
  <si>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</si>
  <si>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</si>
  <si>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</si>
  <si>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</si>
  <si>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</si>
  <si>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</si>
  <si>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</si>
  <si>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</si>
  <si>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</si>
  <si>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</si>
  <si>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</si>
  <si>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</si>
  <si>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</si>
  <si>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</si>
  <si>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</si>
  <si>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</si>
  <si>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</si>
  <si>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</si>
  <si>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</si>
  <si>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</si>
  <si>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</si>
  <si>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</si>
  <si>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</si>
  <si>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</si>
  <si>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</si>
  <si>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</si>
  <si>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</si>
  <si>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</si>
  <si>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</si>
  <si>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</si>
  <si>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</si>
  <si>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</si>
  <si>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</si>
  <si>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</si>
  <si>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</si>
  <si>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</si>
  <si>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</si>
  <si>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</si>
  <si>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</si>
  <si>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</si>
  <si>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</si>
  <si>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</si>
  <si>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</si>
  <si>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</si>
  <si>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</si>
  <si>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</si>
  <si>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</si>
  <si>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</si>
  <si>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</si>
  <si>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</si>
  <si>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</si>
  <si>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Vertex Group</t>
  </si>
  <si>
    <t>Vertex 1 Group</t>
  </si>
  <si>
    <t>Vertex 2 Group</t>
  </si>
  <si>
    <t>Top URLs in Tweet</t>
  </si>
  <si>
    <t>Count of Tweet Date (UTC)</t>
  </si>
  <si>
    <t>Row Labels</t>
  </si>
  <si>
    <t>(blank)</t>
  </si>
  <si>
    <t>Grand Total</t>
  </si>
  <si>
    <t>Autofill Workbook Results</t>
  </si>
  <si>
    <t>▓0▓0▓0▓True▓Black▓Black▓▓▓0▓0▓0▓0▓0▓False▓▓0▓0▓0▓0▓0▓False▓▓0▓0▓0▓True▓Black▓Black▓▓▓0▓0▓0▓0▓0▓False▓▓0▓0▓0▓0▓0▓False▓▓0▓0▓0▓0▓0▓False▓▓0▓0▓0▓0▓0▓False</t>
  </si>
  <si>
    <t>GraphSource░GraphServerTwitterSearch▓GraphTerm░#ssu2020▓ImportDescription░The graph represents a network of 0 Twitter users whose tweets in the requested range contained "#ssu2020", or who was replied to or mentioned in those tweets.  The network was obtained from the NodeXL Graph Server on Tuesday, 19 January 2021 at 16:16 UTC.
The requested start date was Tuesday, 19 January 2021 at 01:01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</si>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</sst>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8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4" borderId="11" xfId="24" applyNumberFormat="1" applyBorder="1" applyAlignment="1">
      <alignment/>
    </xf>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224">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numFmt numFmtId="167" formatCode="0.00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7" formatCode="General"/>
    </dxf>
    <dxf>
      <font>
        <b val="0"/>
        <i val="0"/>
        <u val="none"/>
        <strike val="0"/>
        <sz val="11"/>
        <name val="Calibri"/>
        <color theme="1"/>
        <condense val="0"/>
        <extend val="0"/>
      </font>
      <numFmt numFmtId="177" formatCode="General"/>
    </dxf>
    <dxf>
      <numFmt numFmtId="178" formatCode="@"/>
    </dxf>
    <dxf>
      <font>
        <b val="0"/>
        <i val="0"/>
        <u val="none"/>
        <strike val="0"/>
        <sz val="11"/>
        <name val="Calibri"/>
        <color theme="1"/>
        <condense val="0"/>
        <extend val="0"/>
      </font>
      <numFmt numFmtId="177"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3"/>
      <tableStyleElement type="headerRow" dxfId="222"/>
    </tableStyle>
    <tableStyle name="NodeXL Table" pivot="0" count="1">
      <tableStyleElement type="headerRow" dxfId="2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3577520"/>
        <c:axId val="12435633"/>
      </c:barChart>
      <c:catAx>
        <c:axId val="5357752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2435633"/>
        <c:crosses val="autoZero"/>
        <c:auto val="1"/>
        <c:lblOffset val="100"/>
        <c:noMultiLvlLbl val="0"/>
      </c:catAx>
      <c:valAx>
        <c:axId val="124356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5775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#ssu2020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27309834"/>
        <c:axId val="44461915"/>
      </c:barChart>
      <c:catAx>
        <c:axId val="27309834"/>
        <c:scaling>
          <c:orientation val="minMax"/>
        </c:scaling>
        <c:axPos val="b"/>
        <c:delete val="0"/>
        <c:numFmt formatCode="General" sourceLinked="1"/>
        <c:majorTickMark val="out"/>
        <c:minorTickMark val="none"/>
        <c:tickLblPos val="nextTo"/>
        <c:crossAx val="44461915"/>
        <c:crosses val="autoZero"/>
        <c:auto val="1"/>
        <c:lblOffset val="100"/>
        <c:noMultiLvlLbl val="0"/>
      </c:catAx>
      <c:valAx>
        <c:axId val="44461915"/>
        <c:scaling>
          <c:orientation val="minMax"/>
        </c:scaling>
        <c:axPos val="l"/>
        <c:majorGridlines/>
        <c:delete val="0"/>
        <c:numFmt formatCode="General" sourceLinked="1"/>
        <c:majorTickMark val="out"/>
        <c:minorTickMark val="none"/>
        <c:tickLblPos val="nextTo"/>
        <c:crossAx val="2730983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4811834"/>
        <c:axId val="653323"/>
      </c:barChart>
      <c:catAx>
        <c:axId val="4481183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53323"/>
        <c:crosses val="autoZero"/>
        <c:auto val="1"/>
        <c:lblOffset val="100"/>
        <c:noMultiLvlLbl val="0"/>
      </c:catAx>
      <c:valAx>
        <c:axId val="6533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8118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879908"/>
        <c:axId val="52919173"/>
      </c:barChart>
      <c:catAx>
        <c:axId val="587990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2919173"/>
        <c:crosses val="autoZero"/>
        <c:auto val="1"/>
        <c:lblOffset val="100"/>
        <c:noMultiLvlLbl val="0"/>
      </c:catAx>
      <c:valAx>
        <c:axId val="529191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799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510510"/>
        <c:axId val="58594591"/>
      </c:barChart>
      <c:catAx>
        <c:axId val="651051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8594591"/>
        <c:crosses val="autoZero"/>
        <c:auto val="1"/>
        <c:lblOffset val="100"/>
        <c:noMultiLvlLbl val="0"/>
      </c:catAx>
      <c:valAx>
        <c:axId val="585945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105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7589272"/>
        <c:axId val="48541401"/>
      </c:barChart>
      <c:catAx>
        <c:axId val="5758927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8541401"/>
        <c:crosses val="autoZero"/>
        <c:auto val="1"/>
        <c:lblOffset val="100"/>
        <c:noMultiLvlLbl val="0"/>
      </c:catAx>
      <c:valAx>
        <c:axId val="485414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5892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4219426"/>
        <c:axId val="39539379"/>
      </c:barChart>
      <c:catAx>
        <c:axId val="3421942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9539379"/>
        <c:crosses val="autoZero"/>
        <c:auto val="1"/>
        <c:lblOffset val="100"/>
        <c:noMultiLvlLbl val="0"/>
      </c:catAx>
      <c:valAx>
        <c:axId val="395393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2194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0310092"/>
        <c:axId val="48573101"/>
      </c:barChart>
      <c:catAx>
        <c:axId val="2031009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8573101"/>
        <c:crosses val="autoZero"/>
        <c:auto val="1"/>
        <c:lblOffset val="100"/>
        <c:noMultiLvlLbl val="0"/>
      </c:catAx>
      <c:valAx>
        <c:axId val="485731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3100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4504726"/>
        <c:axId val="42107079"/>
      </c:barChart>
      <c:catAx>
        <c:axId val="3450472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2107079"/>
        <c:crosses val="autoZero"/>
        <c:auto val="1"/>
        <c:lblOffset val="100"/>
        <c:noMultiLvlLbl val="0"/>
      </c:catAx>
      <c:valAx>
        <c:axId val="421070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5047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3419392"/>
        <c:axId val="55230209"/>
      </c:barChart>
      <c:catAx>
        <c:axId val="43419392"/>
        <c:scaling>
          <c:orientation val="minMax"/>
        </c:scaling>
        <c:axPos val="b"/>
        <c:delete val="1"/>
        <c:majorTickMark val="out"/>
        <c:minorTickMark val="none"/>
        <c:tickLblPos val="none"/>
        <c:crossAx val="55230209"/>
        <c:crosses val="autoZero"/>
        <c:auto val="1"/>
        <c:lblOffset val="100"/>
        <c:noMultiLvlLbl val="0"/>
      </c:catAx>
      <c:valAx>
        <c:axId val="55230209"/>
        <c:scaling>
          <c:orientation val="minMax"/>
        </c:scaling>
        <c:axPos val="l"/>
        <c:delete val="1"/>
        <c:majorTickMark val="out"/>
        <c:minorTickMark val="none"/>
        <c:tickLblPos val="none"/>
        <c:crossAx val="4341939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0906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3573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16230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18878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1555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4222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29546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26870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E3" sheet="Time Series Edges"/>
  </cacheSource>
  <cacheFields count="57">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3" totalsRowShown="0" headerRowDxfId="220" dataDxfId="219">
  <autoFilter ref="A2:BE3"/>
  <tableColumns count="57">
    <tableColumn id="1" name="Vertex 1" dataDxfId="218"/>
    <tableColumn id="2" name="Vertex 2" dataDxfId="217"/>
    <tableColumn id="3" name="Color" dataDxfId="216"/>
    <tableColumn id="4" name="Width" dataDxfId="215"/>
    <tableColumn id="11" name="Style" dataDxfId="214"/>
    <tableColumn id="5" name="Opacity" dataDxfId="213"/>
    <tableColumn id="6" name="Visibility" dataDxfId="212"/>
    <tableColumn id="10" name="Label" dataDxfId="211"/>
    <tableColumn id="12" name="Label Text Color" dataDxfId="210"/>
    <tableColumn id="13" name="Label Font Size" dataDxfId="209"/>
    <tableColumn id="14" name="Reciprocated?" dataDxfId="60"/>
    <tableColumn id="7" name="ID" dataDxfId="208"/>
    <tableColumn id="9" name="Dynamic Filter" dataDxfId="207"/>
    <tableColumn id="8" name="Add Your Own Columns Here" dataDxfId="206"/>
    <tableColumn id="15" name="Relationship" dataDxfId="205"/>
    <tableColumn id="16" name="Relationship Date (UTC)" dataDxfId="204"/>
    <tableColumn id="17" name="Tweet" dataDxfId="203"/>
    <tableColumn id="18" name="URLs in Tweet" dataDxfId="202"/>
    <tableColumn id="19" name="Domains in Tweet" dataDxfId="201"/>
    <tableColumn id="20" name="Hashtags in Tweet" dataDxfId="200"/>
    <tableColumn id="21" name="Media in Tweet" dataDxfId="199"/>
    <tableColumn id="22" name="Tweet Image File" dataDxfId="198"/>
    <tableColumn id="23" name="Tweet Date (UTC)" dataDxfId="197"/>
    <tableColumn id="24" name="Date" dataDxfId="196"/>
    <tableColumn id="25" name="Time" dataDxfId="195"/>
    <tableColumn id="26" name="Twitter Page for Tweet" dataDxfId="194"/>
    <tableColumn id="27" name="Latitude" dataDxfId="193"/>
    <tableColumn id="28" name="Longitude" dataDxfId="192"/>
    <tableColumn id="29" name="Imported ID" dataDxfId="191"/>
    <tableColumn id="30" name="In-Reply-To Tweet ID" dataDxfId="190"/>
    <tableColumn id="31" name="Favorited" dataDxfId="189"/>
    <tableColumn id="32" name="Favorite Count" dataDxfId="188"/>
    <tableColumn id="33" name="In-Reply-To User ID" dataDxfId="187"/>
    <tableColumn id="34" name="Is Quote Status" dataDxfId="186"/>
    <tableColumn id="35" name="Language" dataDxfId="185"/>
    <tableColumn id="36" name="Possibly Sensitive" dataDxfId="184"/>
    <tableColumn id="37" name="Quoted Status ID" dataDxfId="183"/>
    <tableColumn id="38" name="Retweeted" dataDxfId="182"/>
    <tableColumn id="39" name="Retweet Count" dataDxfId="181"/>
    <tableColumn id="40" name="Retweet ID" dataDxfId="180"/>
    <tableColumn id="41" name="Source" dataDxfId="179"/>
    <tableColumn id="42" name="Truncated" dataDxfId="178"/>
    <tableColumn id="43" name="Unified Twitter ID" dataDxfId="177"/>
    <tableColumn id="44" name="Imported Tweet Type" dataDxfId="176"/>
    <tableColumn id="45" name="Added By Extended Analysis" dataDxfId="175"/>
    <tableColumn id="46" name="Corrected By Extended Analysis" dataDxfId="174"/>
    <tableColumn id="47" name="Place Bounding Box" dataDxfId="173"/>
    <tableColumn id="48" name="Place Country" dataDxfId="172"/>
    <tableColumn id="49" name="Place Country Code" dataDxfId="171"/>
    <tableColumn id="50" name="Place Full Name" dataDxfId="170"/>
    <tableColumn id="51" name="Place ID" dataDxfId="169"/>
    <tableColumn id="52" name="Place Name" dataDxfId="168"/>
    <tableColumn id="53" name="Place Type" dataDxfId="167"/>
    <tableColumn id="54" name="Place URL" dataDxfId="166"/>
    <tableColumn id="55" name="Edge Weight"/>
    <tableColumn id="56" name="Vertex 1 Group" dataDxfId="62">
      <calculatedColumnFormula>REPLACE(INDEX(GroupVertices[Group], MATCH(Edges[[#This Row],[Vertex 1]],GroupVertices[Vertex],0)),1,1,"")</calculatedColumnFormula>
    </tableColumn>
    <tableColumn id="57" name="Vertex 2 Group" dataDxfId="61">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72">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BA3" totalsRowShown="0" headerRowDxfId="165" dataDxfId="164">
  <autoFilter ref="A2:BA3"/>
  <tableColumns count="53">
    <tableColumn id="1" name="Vertex" dataDxfId="163"/>
    <tableColumn id="2" name="Color" dataDxfId="162"/>
    <tableColumn id="5" name="Shape" dataDxfId="161"/>
    <tableColumn id="6" name="Size" dataDxfId="160"/>
    <tableColumn id="4" name="Opacity" dataDxfId="159"/>
    <tableColumn id="7" name="Image File" dataDxfId="158"/>
    <tableColumn id="3" name="Visibility" dataDxfId="157"/>
    <tableColumn id="10" name="Label" dataDxfId="156"/>
    <tableColumn id="16" name="Label Fill Color" dataDxfId="155"/>
    <tableColumn id="9" name="Label Position" dataDxfId="154"/>
    <tableColumn id="8" name="Tooltip" dataDxfId="153"/>
    <tableColumn id="18" name="Layout Order" dataDxfId="152"/>
    <tableColumn id="13" name="X" dataDxfId="151"/>
    <tableColumn id="14" name="Y" dataDxfId="150"/>
    <tableColumn id="12" name="Locked?" dataDxfId="149"/>
    <tableColumn id="19" name="Polar R" dataDxfId="148"/>
    <tableColumn id="20" name="Polar Angle" dataDxfId="147"/>
    <tableColumn id="21" name="Degree" dataDxfId="146"/>
    <tableColumn id="22" name="In-Degree" dataDxfId="145"/>
    <tableColumn id="23" name="Out-Degree" dataDxfId="144"/>
    <tableColumn id="24" name="Betweenness Centrality" dataDxfId="143"/>
    <tableColumn id="25" name="Closeness Centrality" dataDxfId="142"/>
    <tableColumn id="26" name="Eigenvector Centrality" dataDxfId="141"/>
    <tableColumn id="15" name="PageRank" dataDxfId="140"/>
    <tableColumn id="27" name="Clustering Coefficient" dataDxfId="139"/>
    <tableColumn id="29" name="Reciprocated Vertex Pair Ratio" dataDxfId="138"/>
    <tableColumn id="11" name="ID" dataDxfId="137"/>
    <tableColumn id="28" name="Dynamic Filter" dataDxfId="136"/>
    <tableColumn id="17" name="Add Your Own Columns Here" dataDxfId="135"/>
    <tableColumn id="30" name="Name" dataDxfId="134"/>
    <tableColumn id="31" name="User ID" dataDxfId="133"/>
    <tableColumn id="32" name="Followed" dataDxfId="132"/>
    <tableColumn id="33" name="Followers" dataDxfId="131"/>
    <tableColumn id="34" name="Tweets" dataDxfId="130"/>
    <tableColumn id="35" name="Favorites" dataDxfId="129"/>
    <tableColumn id="36" name="Time Zone UTC Offset (Seconds)" dataDxfId="128"/>
    <tableColumn id="37" name="Description" dataDxfId="127"/>
    <tableColumn id="38" name="Location" dataDxfId="126"/>
    <tableColumn id="39" name="Web" dataDxfId="125"/>
    <tableColumn id="40" name="Time Zone" dataDxfId="124"/>
    <tableColumn id="41" name="Joined Twitter Date (UTC)" dataDxfId="123"/>
    <tableColumn id="42" name="Profile Banner Url" dataDxfId="122"/>
    <tableColumn id="43" name="Default Profile" dataDxfId="121"/>
    <tableColumn id="44" name="Default Profile Image" dataDxfId="120"/>
    <tableColumn id="45" name="Geo Enabled" dataDxfId="119"/>
    <tableColumn id="46" name="Language" dataDxfId="118"/>
    <tableColumn id="47" name="Listed Count" dataDxfId="117"/>
    <tableColumn id="48" name="Profile Background Image Url" dataDxfId="116"/>
    <tableColumn id="49" name="Verified" dataDxfId="115"/>
    <tableColumn id="50" name="Custom Menu Item Text" dataDxfId="114"/>
    <tableColumn id="51" name="Custom Menu Item Action" dataDxfId="113"/>
    <tableColumn id="52" name="Tweeted Search Term?" dataDxfId="64"/>
    <tableColumn id="53" name="Vertex Group" dataDxfId="63">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3" insertRow="1" totalsRowShown="0" headerRowDxfId="112">
  <autoFilter ref="A2:Y3"/>
  <tableColumns count="25">
    <tableColumn id="1" name="Group" dataDxfId="70"/>
    <tableColumn id="2" name="Vertex Color" dataDxfId="69"/>
    <tableColumn id="3" name="Vertex Shape" dataDxfId="68"/>
    <tableColumn id="22" name="Visibility" dataDxfId="111"/>
    <tableColumn id="4" name="Collapsed?"/>
    <tableColumn id="18" name="Label" dataDxfId="110"/>
    <tableColumn id="20" name="Collapsed X"/>
    <tableColumn id="21" name="Collapsed Y"/>
    <tableColumn id="6" name="ID" dataDxfId="109"/>
    <tableColumn id="19" name="Collapsed Properties" dataDxfId="108"/>
    <tableColumn id="5" name="Vertices" dataDxfId="107"/>
    <tableColumn id="7" name="Unique Edges" dataDxfId="106"/>
    <tableColumn id="8" name="Edges With Duplicates" dataDxfId="105"/>
    <tableColumn id="9" name="Total Edges" dataDxfId="104"/>
    <tableColumn id="10" name="Self-Loops" dataDxfId="103"/>
    <tableColumn id="24" name="Reciprocated Vertex Pair Ratio" dataDxfId="102"/>
    <tableColumn id="25" name="Reciprocated Edge Ratio" dataDxfId="101"/>
    <tableColumn id="11" name="Connected Components" dataDxfId="100"/>
    <tableColumn id="12" name="Single-Vertex Connected Components" dataDxfId="99"/>
    <tableColumn id="13" name="Maximum Vertices in a Connected Component" dataDxfId="98"/>
    <tableColumn id="14" name="Maximum Edges in a Connected Component" dataDxfId="97"/>
    <tableColumn id="15" name="Maximum Geodesic Distance (Diameter)" dataDxfId="96"/>
    <tableColumn id="16" name="Average Geodesic Distance" dataDxfId="95"/>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94" dataDxfId="93">
  <autoFilter ref="A1:C2"/>
  <tableColumns count="3">
    <tableColumn id="1" name="Group" dataDxfId="67"/>
    <tableColumn id="2" name="Vertex" dataDxfId="66"/>
    <tableColumn id="3" name="Vertex ID" dataDxfId="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92"/>
    <tableColumn id="2" name="Value" dataDxfId="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90"/>
    <tableColumn id="2" name="Degree Frequency" dataDxfId="89">
      <calculatedColumnFormula>COUNTIF(Vertices[Degree], "&gt;= " &amp; D2) - COUNTIF(Vertices[Degree], "&gt;=" &amp; D3)</calculatedColumnFormula>
    </tableColumn>
    <tableColumn id="3" name="In-Degree Bin" dataDxfId="88"/>
    <tableColumn id="4" name="In-Degree Frequency" dataDxfId="87">
      <calculatedColumnFormula>COUNTIF(Vertices[In-Degree], "&gt;= " &amp; F2) - COUNTIF(Vertices[In-Degree], "&gt;=" &amp; F3)</calculatedColumnFormula>
    </tableColumn>
    <tableColumn id="5" name="Out-Degree Bin" dataDxfId="86"/>
    <tableColumn id="6" name="Out-Degree Frequency" dataDxfId="85">
      <calculatedColumnFormula>COUNTIF(Vertices[Out-Degree], "&gt;= " &amp; H2) - COUNTIF(Vertices[Out-Degree], "&gt;=" &amp; H3)</calculatedColumnFormula>
    </tableColumn>
    <tableColumn id="7" name="Betweenness Centrality Bin" dataDxfId="84"/>
    <tableColumn id="8" name="Betweenness Centrality Frequency" dataDxfId="83">
      <calculatedColumnFormula>COUNTIF(Vertices[Betweenness Centrality], "&gt;= " &amp; J2) - COUNTIF(Vertices[Betweenness Centrality], "&gt;=" &amp; J3)</calculatedColumnFormula>
    </tableColumn>
    <tableColumn id="9" name="Closeness Centrality Bin" dataDxfId="82"/>
    <tableColumn id="10" name="Closeness Centrality Frequency" dataDxfId="81">
      <calculatedColumnFormula>COUNTIF(Vertices[Closeness Centrality], "&gt;= " &amp; L2) - COUNTIF(Vertices[Closeness Centrality], "&gt;=" &amp; L3)</calculatedColumnFormula>
    </tableColumn>
    <tableColumn id="11" name="Eigenvector Centrality Bin" dataDxfId="80"/>
    <tableColumn id="12" name="Eigenvector Centrality Frequency" dataDxfId="79">
      <calculatedColumnFormula>COUNTIF(Vertices[Eigenvector Centrality], "&gt;= " &amp; N2) - COUNTIF(Vertices[Eigenvector Centrality], "&gt;=" &amp; N3)</calculatedColumnFormula>
    </tableColumn>
    <tableColumn id="18" name="PageRank Bin" dataDxfId="78"/>
    <tableColumn id="17" name="PageRank Frequency" dataDxfId="77">
      <calculatedColumnFormula>COUNTIF(Vertices[Eigenvector Centrality], "&gt;= " &amp; P2) - COUNTIF(Vertices[Eigenvector Centrality], "&gt;=" &amp; P3)</calculatedColumnFormula>
    </tableColumn>
    <tableColumn id="13" name="Clustering Coefficient Bin" dataDxfId="76"/>
    <tableColumn id="14" name="Clustering Coefficient Frequency" dataDxfId="75">
      <calculatedColumnFormula>COUNTIF(Vertices[Clustering Coefficient], "&gt;= " &amp; R2) - COUNTIF(Vertices[Clustering Coefficient], "&gt;=" &amp; R3)</calculatedColumnFormula>
    </tableColumn>
    <tableColumn id="15" name="Dynamic Filter Bin" dataDxfId="74"/>
    <tableColumn id="16" name="Dynamic Filter Frequency" dataDxfId="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3" totalsRowShown="0" headerRowDxfId="57" dataDxfId="56">
  <autoFilter ref="A2:BE3"/>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79" t="s">
        <v>0</v>
      </c>
      <c r="B2" s="79" t="s">
        <v>1</v>
      </c>
      <c r="C2" s="13" t="s">
        <v>2</v>
      </c>
      <c r="D2" s="13" t="s">
        <v>3</v>
      </c>
      <c r="E2" s="13" t="s">
        <v>130</v>
      </c>
      <c r="F2" s="13" t="s">
        <v>4</v>
      </c>
      <c r="G2" s="13" t="s">
        <v>11</v>
      </c>
      <c r="H2" s="11" t="s">
        <v>46</v>
      </c>
      <c r="I2" s="13" t="s">
        <v>160</v>
      </c>
      <c r="J2" s="13" t="s">
        <v>161</v>
      </c>
      <c r="K2" s="13" t="s">
        <v>165</v>
      </c>
      <c r="L2" s="13" t="s">
        <v>12</v>
      </c>
      <c r="M2" s="13" t="s">
        <v>38</v>
      </c>
      <c r="N2" s="13" t="s">
        <v>26</v>
      </c>
      <c r="O2" s="81" t="s">
        <v>174</v>
      </c>
      <c r="P2" s="81" t="s">
        <v>175</v>
      </c>
      <c r="Q2" s="81" t="s">
        <v>176</v>
      </c>
      <c r="R2" s="81" t="s">
        <v>177</v>
      </c>
      <c r="S2" s="81" t="s">
        <v>178</v>
      </c>
      <c r="T2" s="81" t="s">
        <v>179</v>
      </c>
      <c r="U2" s="81" t="s">
        <v>180</v>
      </c>
      <c r="V2" s="81" t="s">
        <v>181</v>
      </c>
      <c r="W2" s="81" t="s">
        <v>182</v>
      </c>
      <c r="X2" s="81" t="s">
        <v>183</v>
      </c>
      <c r="Y2" s="81" t="s">
        <v>184</v>
      </c>
      <c r="Z2" s="81" t="s">
        <v>185</v>
      </c>
      <c r="AA2" s="81" t="s">
        <v>186</v>
      </c>
      <c r="AB2" s="81" t="s">
        <v>187</v>
      </c>
      <c r="AC2" s="81" t="s">
        <v>188</v>
      </c>
      <c r="AD2" s="81" t="s">
        <v>189</v>
      </c>
      <c r="AE2" s="81" t="s">
        <v>190</v>
      </c>
      <c r="AF2" s="81" t="s">
        <v>191</v>
      </c>
      <c r="AG2" s="81" t="s">
        <v>192</v>
      </c>
      <c r="AH2" s="81" t="s">
        <v>193</v>
      </c>
      <c r="AI2" s="81" t="s">
        <v>194</v>
      </c>
      <c r="AJ2" s="81" t="s">
        <v>195</v>
      </c>
      <c r="AK2" s="81" t="s">
        <v>196</v>
      </c>
      <c r="AL2" s="81" t="s">
        <v>197</v>
      </c>
      <c r="AM2" s="81" t="s">
        <v>198</v>
      </c>
      <c r="AN2" s="81" t="s">
        <v>199</v>
      </c>
      <c r="AO2" s="81" t="s">
        <v>200</v>
      </c>
      <c r="AP2" s="81" t="s">
        <v>201</v>
      </c>
      <c r="AQ2" s="81" t="s">
        <v>202</v>
      </c>
      <c r="AR2" s="81" t="s">
        <v>203</v>
      </c>
      <c r="AS2" s="81" t="s">
        <v>204</v>
      </c>
      <c r="AT2" s="81" t="s">
        <v>205</v>
      </c>
      <c r="AU2" s="81" t="s">
        <v>206</v>
      </c>
      <c r="AV2" s="81" t="s">
        <v>207</v>
      </c>
      <c r="AW2" s="81" t="s">
        <v>208</v>
      </c>
      <c r="AX2" s="81" t="s">
        <v>209</v>
      </c>
      <c r="AY2" s="81" t="s">
        <v>210</v>
      </c>
      <c r="AZ2" s="81" t="s">
        <v>211</v>
      </c>
      <c r="BA2" s="81" t="s">
        <v>212</v>
      </c>
      <c r="BB2" s="81" t="s">
        <v>213</v>
      </c>
      <c r="BC2" t="s">
        <v>273</v>
      </c>
      <c r="BD2" s="13" t="s">
        <v>275</v>
      </c>
      <c r="BE2" s="13" t="s">
        <v>276</v>
      </c>
    </row>
    <row r="3" spans="1:57" ht="15" customHeight="1">
      <c r="A3" s="80"/>
      <c r="B3" s="80"/>
      <c r="C3" s="53"/>
      <c r="D3" s="54"/>
      <c r="E3" s="66"/>
      <c r="F3" s="55"/>
      <c r="G3" s="53"/>
      <c r="H3" s="57"/>
      <c r="I3" s="56"/>
      <c r="J3" s="56"/>
      <c r="K3" s="35"/>
      <c r="L3" s="62">
        <v>3</v>
      </c>
      <c r="M3" s="62"/>
      <c r="N3" s="63"/>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D3" s="81" t="e">
        <f>REPLACE(INDEX(GroupVertices[Group],MATCH(Edges[[#This Row],[Vertex 1]],GroupVertices[Vertex],0)),1,1,"")</f>
        <v>#N/A</v>
      </c>
      <c r="BE3" s="81" t="e">
        <f>REPLACE(INDEX(GroupVertices[Group],MATCH(Edges[[#This Row],[Vertex 2]],GroupVertices[Vertex],0)),1,1,"")</f>
        <v>#N/A</v>
      </c>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55"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194</v>
      </c>
      <c r="AU2" s="13" t="s">
        <v>230</v>
      </c>
      <c r="AV2" s="13" t="s">
        <v>231</v>
      </c>
      <c r="AW2" s="13" t="s">
        <v>232</v>
      </c>
      <c r="AX2" s="13" t="s">
        <v>233</v>
      </c>
      <c r="AY2" s="13" t="s">
        <v>234</v>
      </c>
      <c r="AZ2" s="13" t="s">
        <v>235</v>
      </c>
      <c r="BA2" s="13" t="s">
        <v>274</v>
      </c>
      <c r="BB2" s="3"/>
      <c r="BC2" s="3"/>
    </row>
    <row r="3" spans="1:55" ht="15" customHeight="1">
      <c r="A3" s="49"/>
      <c r="B3" s="53"/>
      <c r="C3" s="53"/>
      <c r="D3" s="54"/>
      <c r="E3" s="55"/>
      <c r="F3" s="82"/>
      <c r="G3" s="53"/>
      <c r="H3" s="57"/>
      <c r="I3" s="56"/>
      <c r="J3" s="56"/>
      <c r="K3" s="83"/>
      <c r="L3" s="59"/>
      <c r="M3" s="60"/>
      <c r="N3" s="60"/>
      <c r="O3" s="58"/>
      <c r="P3" s="61"/>
      <c r="Q3" s="61"/>
      <c r="R3" s="50"/>
      <c r="S3" s="50"/>
      <c r="T3" s="50"/>
      <c r="U3" s="50"/>
      <c r="V3" s="51"/>
      <c r="W3" s="51"/>
      <c r="X3" s="52"/>
      <c r="Y3" s="51"/>
      <c r="Z3" s="51"/>
      <c r="AA3" s="62">
        <v>3</v>
      </c>
      <c r="AB3" s="62"/>
      <c r="AC3" s="63"/>
      <c r="AD3" s="81"/>
      <c r="AE3" s="81"/>
      <c r="AF3" s="81"/>
      <c r="AG3" s="81"/>
      <c r="AH3" s="81"/>
      <c r="AI3" s="81"/>
      <c r="AJ3" s="81"/>
      <c r="AK3" s="81"/>
      <c r="AL3" s="81"/>
      <c r="AM3" s="81"/>
      <c r="AN3" s="81"/>
      <c r="AO3" s="81"/>
      <c r="AP3" s="81"/>
      <c r="AQ3" s="81"/>
      <c r="AR3" s="81"/>
      <c r="AS3" s="81"/>
      <c r="AT3" s="81"/>
      <c r="AU3" s="81"/>
      <c r="AV3" s="81"/>
      <c r="AW3" s="81"/>
      <c r="AX3" s="81"/>
      <c r="AY3" s="81"/>
      <c r="AZ3" s="81"/>
      <c r="BA3" s="81" t="e">
        <f>REPLACE(INDEX(GroupVertices[Group],MATCH(Vertices[[#This Row],[Vertex]],GroupVertices[Vertex],0)),1,1,"")</f>
        <v>#N/A</v>
      </c>
      <c r="BB3" s="3"/>
      <c r="BC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B3"/>
    <dataValidation allowBlank="1" showErrorMessage="1" sqref="B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8" t="s">
        <v>39</v>
      </c>
      <c r="C1" s="69"/>
      <c r="D1" s="69"/>
      <c r="E1" s="70"/>
      <c r="F1" s="67" t="s">
        <v>43</v>
      </c>
      <c r="G1" s="71" t="s">
        <v>44</v>
      </c>
      <c r="H1" s="72"/>
      <c r="I1" s="73" t="s">
        <v>40</v>
      </c>
      <c r="J1" s="74"/>
      <c r="K1" s="75" t="s">
        <v>42</v>
      </c>
      <c r="L1" s="76"/>
      <c r="M1" s="76"/>
      <c r="N1" s="76"/>
      <c r="O1" s="76"/>
      <c r="P1" s="76"/>
      <c r="Q1" s="76"/>
      <c r="R1" s="76"/>
      <c r="S1" s="76"/>
      <c r="T1" s="76"/>
      <c r="U1" s="76"/>
      <c r="V1" s="76"/>
      <c r="W1" s="76"/>
      <c r="X1" s="76"/>
    </row>
    <row r="2" spans="1:25" s="13" customFormat="1" ht="30" customHeight="1">
      <c r="A2" s="79" t="s">
        <v>144</v>
      </c>
      <c r="B2" s="81" t="s">
        <v>21</v>
      </c>
      <c r="C2" s="81"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277</v>
      </c>
    </row>
    <row r="3" spans="1:25" ht="15">
      <c r="A3" s="80"/>
      <c r="B3" s="82"/>
      <c r="C3" s="82"/>
      <c r="D3" s="14"/>
      <c r="E3" s="14"/>
      <c r="F3" s="15"/>
      <c r="G3" s="77"/>
      <c r="H3" s="77"/>
      <c r="I3" s="64"/>
      <c r="J3" s="64"/>
      <c r="K3" s="47"/>
      <c r="L3" s="47"/>
      <c r="M3" s="47"/>
      <c r="N3" s="47"/>
      <c r="O3" s="47"/>
      <c r="P3" s="47"/>
      <c r="Q3" s="47"/>
      <c r="R3" s="47"/>
      <c r="S3" s="47"/>
      <c r="T3" s="47"/>
      <c r="U3" s="47"/>
      <c r="V3" s="47"/>
      <c r="W3" s="48"/>
      <c r="X3" s="48"/>
      <c r="Y3" s="81"/>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79" t="s">
        <v>144</v>
      </c>
      <c r="B1" s="79" t="s">
        <v>5</v>
      </c>
      <c r="C1" s="11" t="s">
        <v>147</v>
      </c>
    </row>
    <row r="2" spans="1:3" ht="15">
      <c r="A2" s="81"/>
      <c r="B2" s="81"/>
      <c r="C2" s="81" t="e">
        <f>VLOOKUP(GroupVertices[[#This Row],[Vertex]],Vertices[],MATCH("ID",Vertices[[#Headers],[Vertex]:[Vertex Group]],0),FALSE)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c r="B2" s="35"/>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35"/>
      <c r="B3" s="35"/>
      <c r="D3" s="33">
        <f aca="true" t="shared" si="1" ref="D3:D35">D2+($D$36-$D$2)/BinDivisor</f>
        <v>0</v>
      </c>
      <c r="E3" s="3">
        <f>COUNTIF(Vertices[Degree],"&gt;= "&amp;D3)-COUNTIF(Vertices[Degree],"&gt;="&amp;D4)</f>
        <v>0</v>
      </c>
      <c r="F3" s="40">
        <f aca="true" t="shared" si="2" ref="F3:F35">F2+($F$36-$F$2)/BinDivisor</f>
        <v>0</v>
      </c>
      <c r="G3" s="41">
        <f>COUNTIF(Vertices[In-Degree],"&gt;= "&amp;F3)-COUNTIF(Vertices[In-Degree],"&gt;="&amp;F4)</f>
        <v>0</v>
      </c>
      <c r="H3" s="40">
        <f aca="true" t="shared" si="3" ref="H3:H35">H2+($H$36-$H$2)/BinDivisor</f>
        <v>0</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c r="B4" s="35"/>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35"/>
      <c r="B5" s="35"/>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c r="B6" s="35"/>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c r="B7" s="35"/>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c r="B8" s="35"/>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35"/>
      <c r="B9" s="35"/>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c r="B10" s="35"/>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35"/>
      <c r="B11" s="35"/>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c r="B12" s="35"/>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c r="B13" s="35"/>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c r="B14" s="35"/>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c r="B15" s="35"/>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c r="B16" s="35"/>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c r="B17" s="35"/>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c r="B18" s="35"/>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c r="B19" s="35"/>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c r="B20" s="35"/>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c r="B21" s="35"/>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c r="B22" s="35"/>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c r="B23" s="35"/>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c r="B24" s="35"/>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c r="B25" s="35"/>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c r="B26" s="35"/>
      <c r="D26" s="33">
        <f t="shared" si="1"/>
        <v>0</v>
      </c>
      <c r="E26" s="3">
        <f>COUNTIF(Vertices[Degree],"&gt;= "&amp;D26)-COUNTIF(Vertices[Degree],"&gt;="&amp;D27)</f>
        <v>0</v>
      </c>
      <c r="F26" s="38">
        <f t="shared" si="2"/>
        <v>0</v>
      </c>
      <c r="G26" s="39">
        <f>COUNTIF(Vertices[In-Degree],"&gt;= "&amp;F26)-COUNTIF(Vertices[In-Degree],"&gt;="&amp;F27)</f>
        <v>0</v>
      </c>
      <c r="H26" s="38">
        <f t="shared" si="3"/>
        <v>0</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78"/>
      <c r="B27" s="78"/>
      <c r="D27" s="33">
        <f t="shared" si="1"/>
        <v>0</v>
      </c>
      <c r="E27" s="3">
        <f>COUNTIF(Vertices[Degree],"&gt;= "&amp;D27)-COUNTIF(Vertices[Degree],"&gt;="&amp;D28)</f>
        <v>0</v>
      </c>
      <c r="F27" s="40">
        <f t="shared" si="2"/>
        <v>0</v>
      </c>
      <c r="G27" s="41">
        <f>COUNTIF(Vertices[In-Degree],"&gt;= "&amp;F27)-COUNTIF(Vertices[In-Degree],"&gt;="&amp;F28)</f>
        <v>0</v>
      </c>
      <c r="H27" s="40">
        <f t="shared" si="3"/>
        <v>0</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c r="B28" s="35"/>
      <c r="D28" s="33">
        <f t="shared" si="1"/>
        <v>0</v>
      </c>
      <c r="E28" s="3">
        <f>COUNTIF(Vertices[Degree],"&gt;= "&amp;D28)-COUNTIF(Vertices[Degree],"&gt;="&amp;D29)</f>
        <v>0</v>
      </c>
      <c r="F28" s="38">
        <f t="shared" si="2"/>
        <v>0</v>
      </c>
      <c r="G28" s="39">
        <f>COUNTIF(Vertices[In-Degree],"&gt;= "&amp;F28)-COUNTIF(Vertices[In-Degree],"&gt;="&amp;F29)</f>
        <v>0</v>
      </c>
      <c r="H28" s="38">
        <f t="shared" si="3"/>
        <v>0</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c r="B29" s="35"/>
      <c r="D29" s="33">
        <f t="shared" si="1"/>
        <v>0</v>
      </c>
      <c r="E29" s="3">
        <f>COUNTIF(Vertices[Degree],"&gt;= "&amp;D29)-COUNTIF(Vertices[Degree],"&gt;="&amp;D30)</f>
        <v>0</v>
      </c>
      <c r="F29" s="40">
        <f t="shared" si="2"/>
        <v>0</v>
      </c>
      <c r="G29" s="41">
        <f>COUNTIF(Vertices[In-Degree],"&gt;= "&amp;F29)-COUNTIF(Vertices[In-Degree],"&gt;="&amp;F30)</f>
        <v>0</v>
      </c>
      <c r="H29" s="40">
        <f t="shared" si="3"/>
        <v>0</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c r="B30" s="35"/>
      <c r="D30" s="33">
        <f t="shared" si="1"/>
        <v>0</v>
      </c>
      <c r="E30" s="3">
        <f>COUNTIF(Vertices[Degree],"&gt;= "&amp;D30)-COUNTIF(Vertices[Degree],"&gt;="&amp;D31)</f>
        <v>0</v>
      </c>
      <c r="F30" s="38">
        <f t="shared" si="2"/>
        <v>0</v>
      </c>
      <c r="G30" s="39">
        <f>COUNTIF(Vertices[In-Degree],"&gt;= "&amp;F30)-COUNTIF(Vertices[In-Degree],"&gt;="&amp;F31)</f>
        <v>0</v>
      </c>
      <c r="H30" s="38">
        <f t="shared" si="3"/>
        <v>0</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c r="B31" s="35"/>
      <c r="D31" s="33">
        <f t="shared" si="1"/>
        <v>0</v>
      </c>
      <c r="E31" s="3">
        <f>COUNTIF(Vertices[Degree],"&gt;= "&amp;D31)-COUNTIF(Vertices[Degree],"&gt;="&amp;D32)</f>
        <v>0</v>
      </c>
      <c r="F31" s="40">
        <f t="shared" si="2"/>
        <v>0</v>
      </c>
      <c r="G31" s="41">
        <f>COUNTIF(Vertices[In-Degree],"&gt;= "&amp;F31)-COUNTIF(Vertices[In-Degree],"&gt;="&amp;F32)</f>
        <v>0</v>
      </c>
      <c r="H31" s="40">
        <f t="shared" si="3"/>
        <v>0</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c r="B32" s="35"/>
      <c r="D32" s="33">
        <f t="shared" si="1"/>
        <v>0</v>
      </c>
      <c r="E32" s="3">
        <f>COUNTIF(Vertices[Degree],"&gt;= "&amp;D32)-COUNTIF(Vertices[Degree],"&gt;="&amp;D33)</f>
        <v>0</v>
      </c>
      <c r="F32" s="38">
        <f t="shared" si="2"/>
        <v>0</v>
      </c>
      <c r="G32" s="39">
        <f>COUNTIF(Vertices[In-Degree],"&gt;= "&amp;F32)-COUNTIF(Vertices[In-Degree],"&gt;="&amp;F33)</f>
        <v>0</v>
      </c>
      <c r="H32" s="38">
        <f t="shared" si="3"/>
        <v>0</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78"/>
      <c r="B33" s="78"/>
      <c r="D33" s="33">
        <f t="shared" si="1"/>
        <v>0</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c r="B34" s="35"/>
      <c r="D34" s="33">
        <f t="shared" si="1"/>
        <v>0</v>
      </c>
      <c r="E34" s="3">
        <f>COUNTIF(Vertices[Degree],"&gt;= "&amp;D34)-COUNTIF(Vertices[Degree],"&gt;="&amp;D35)</f>
        <v>0</v>
      </c>
      <c r="F34" s="38">
        <f t="shared" si="2"/>
        <v>0</v>
      </c>
      <c r="G34" s="39">
        <f>COUNTIF(Vertices[In-Degree],"&gt;= "&amp;F34)-COUNTIF(Vertices[In-Degree],"&gt;="&amp;F35)</f>
        <v>0</v>
      </c>
      <c r="H34" s="38">
        <f t="shared" si="3"/>
        <v>0</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c r="B35" s="35"/>
      <c r="D35" s="33">
        <f t="shared" si="1"/>
        <v>0</v>
      </c>
      <c r="E35" s="3">
        <f>COUNTIF(Vertices[Degree],"&gt;= "&amp;D35)-COUNTIF(Vertices[Degree],"&gt;="&amp;D36)</f>
        <v>0</v>
      </c>
      <c r="F35" s="40">
        <f t="shared" si="2"/>
        <v>0</v>
      </c>
      <c r="G35" s="41">
        <f>COUNTIF(Vertices[In-Degree],"&gt;= "&amp;F35)-COUNTIF(Vertices[In-Degree],"&gt;="&amp;F36)</f>
        <v>0</v>
      </c>
      <c r="H35" s="40">
        <f t="shared" si="3"/>
        <v>0</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c r="B36" s="35"/>
      <c r="D36" s="33">
        <f>MAX(Vertices[Degree])</f>
        <v>0</v>
      </c>
      <c r="E36" s="3">
        <f>COUNTIF(Vertices[Degree],"&gt;= "&amp;D36)-COUNTIF(Vertices[Degree],"&gt;="&amp;#REF!)</f>
        <v>0</v>
      </c>
      <c r="F36" s="42">
        <f>MAX(Vertices[In-Degree])</f>
        <v>0</v>
      </c>
      <c r="G36" s="43">
        <f>COUNTIF(Vertices[In-Degree],"&gt;= "&amp;F36)-COUNTIF(Vertices[In-Degree],"&gt;="&amp;#REF!)</f>
        <v>0</v>
      </c>
      <c r="H36" s="42">
        <f>MAX(Vertices[Out-Degree])</f>
        <v>0</v>
      </c>
      <c r="I36" s="43">
        <f>COUNTIF(Vertices[Out-Degree],"&gt;= "&amp;H36)-COUNTIF(Vertices[Out-Degree],"&gt;="&amp;#REF!)</f>
        <v>0</v>
      </c>
      <c r="J36" s="42">
        <f>MAX(Vertices[Betweenness Centrality])</f>
        <v>0</v>
      </c>
      <c r="K36" s="43">
        <f>COUNTIF(Vertices[Betweenness Centrality],"&gt;= "&amp;J36)-COUNTIF(Vertices[Betweenness Centrality],"&gt;="&amp;#REF!)</f>
        <v>0</v>
      </c>
      <c r="L36" s="42">
        <f>MAX(Vertices[Closeness Centrality])</f>
        <v>0</v>
      </c>
      <c r="M36" s="43">
        <f>COUNTIF(Vertices[Closeness Centrality],"&gt;= "&amp;L36)-COUNTIF(Vertices[Closeness Centrality],"&gt;="&amp;#REF!)</f>
        <v>0</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78"/>
      <c r="B37" s="78"/>
    </row>
    <row r="38" spans="1:2" ht="15">
      <c r="A38" s="78"/>
      <c r="B38" s="78"/>
    </row>
    <row r="39" spans="1:2" ht="15">
      <c r="A39" s="78"/>
      <c r="B39" s="78"/>
    </row>
    <row r="40" spans="1:2" ht="15">
      <c r="A40" s="78"/>
      <c r="B40" s="78"/>
    </row>
    <row r="41" spans="1:2" ht="15">
      <c r="A41" s="78"/>
      <c r="B41" s="78"/>
    </row>
    <row r="42" spans="1:2" ht="15">
      <c r="A42" s="35"/>
      <c r="B42" s="35"/>
    </row>
    <row r="43" spans="1:2" ht="15">
      <c r="A43" s="35"/>
      <c r="B43" s="35"/>
    </row>
    <row r="44" spans="1:2" ht="15">
      <c r="A44" s="35"/>
      <c r="B44" s="35"/>
    </row>
    <row r="45" spans="1:2" ht="15">
      <c r="A45" s="35"/>
      <c r="B45" s="35"/>
    </row>
    <row r="46" spans="1:2" ht="15">
      <c r="A46" s="35"/>
      <c r="B46" s="35"/>
    </row>
    <row r="47" spans="1:2" ht="15">
      <c r="A47" s="35"/>
      <c r="B47" s="35"/>
    </row>
    <row r="48" spans="1:2" ht="15">
      <c r="A48" s="35"/>
      <c r="B48" s="35"/>
    </row>
    <row r="49" spans="1:2" ht="15">
      <c r="A49" s="35"/>
      <c r="B49"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t="str">
        <f>IF(COUNT(Vertices[In-Degree])&gt;0,F2,NoMetricMessage)</f>
        <v>Not Available</v>
      </c>
    </row>
    <row r="81" spans="1:2" ht="15">
      <c r="A81" s="34" t="s">
        <v>89</v>
      </c>
      <c r="B81" s="47" t="str">
        <f>IF(COUNT(Vertices[In-Degree])&gt;0,F36,NoMetricMessage)</f>
        <v>Not Available</v>
      </c>
    </row>
    <row r="82" spans="1:2" ht="15">
      <c r="A82" s="34" t="s">
        <v>90</v>
      </c>
      <c r="B82" s="48" t="str">
        <f>_xlfn.IFERROR(AVERAGE(Vertices[In-Degree]),NoMetricMessage)</f>
        <v>Not Available</v>
      </c>
    </row>
    <row r="83" spans="1:2" ht="15">
      <c r="A83" s="34" t="s">
        <v>91</v>
      </c>
      <c r="B83" s="48" t="str">
        <f>_xlfn.IFERROR(MEDIAN(Vertices[In-Degree]),NoMetricMessage)</f>
        <v>Not Available</v>
      </c>
    </row>
    <row r="94" spans="1:2" ht="15">
      <c r="A94" s="34" t="s">
        <v>94</v>
      </c>
      <c r="B94" s="47" t="str">
        <f>IF(COUNT(Vertices[Out-Degree])&gt;0,H2,NoMetricMessage)</f>
        <v>Not Available</v>
      </c>
    </row>
    <row r="95" spans="1:2" ht="15">
      <c r="A95" s="34" t="s">
        <v>95</v>
      </c>
      <c r="B95" s="47" t="str">
        <f>IF(COUNT(Vertices[Out-Degree])&gt;0,H36,NoMetricMessage)</f>
        <v>Not Available</v>
      </c>
    </row>
    <row r="96" spans="1:2" ht="15">
      <c r="A96" s="34" t="s">
        <v>96</v>
      </c>
      <c r="B96" s="48" t="str">
        <f>_xlfn.IFERROR(AVERAGE(Vertices[Out-Degree]),NoMetricMessage)</f>
        <v>Not Available</v>
      </c>
    </row>
    <row r="97" spans="1:2" ht="15">
      <c r="A97" s="34" t="s">
        <v>97</v>
      </c>
      <c r="B97" s="48" t="str">
        <f>_xlfn.IFERROR(MEDIAN(Vertices[Out-Degree]),NoMetricMessage)</f>
        <v>Not Available</v>
      </c>
    </row>
    <row r="108" spans="1:2" ht="15">
      <c r="A108" s="34" t="s">
        <v>100</v>
      </c>
      <c r="B108" s="48" t="str">
        <f>IF(COUNT(Vertices[Betweenness Centrality])&gt;0,J2,NoMetricMessage)</f>
        <v>Not Available</v>
      </c>
    </row>
    <row r="109" spans="1:2" ht="15">
      <c r="A109" s="34" t="s">
        <v>101</v>
      </c>
      <c r="B109" s="48" t="str">
        <f>IF(COUNT(Vertices[Betweenness Centrality])&gt;0,J36,NoMetricMessage)</f>
        <v>Not Available</v>
      </c>
    </row>
    <row r="110" spans="1:2" ht="15">
      <c r="A110" s="34" t="s">
        <v>102</v>
      </c>
      <c r="B110" s="48" t="str">
        <f>_xlfn.IFERROR(AVERAGE(Vertices[Betweenness Centrality]),NoMetricMessage)</f>
        <v>Not Available</v>
      </c>
    </row>
    <row r="111" spans="1:2" ht="15">
      <c r="A111" s="34" t="s">
        <v>103</v>
      </c>
      <c r="B111" s="48" t="str">
        <f>_xlfn.IFERROR(MEDIAN(Vertices[Betweenness Centrality]),NoMetricMessage)</f>
        <v>Not Available</v>
      </c>
    </row>
    <row r="122" spans="1:2" ht="15">
      <c r="A122" s="34" t="s">
        <v>106</v>
      </c>
      <c r="B122" s="48" t="str">
        <f>IF(COUNT(Vertices[Closeness Centrality])&gt;0,L2,NoMetricMessage)</f>
        <v>Not Available</v>
      </c>
    </row>
    <row r="123" spans="1:2" ht="15">
      <c r="A123" s="34" t="s">
        <v>107</v>
      </c>
      <c r="B123" s="48" t="str">
        <f>IF(COUNT(Vertices[Closeness Centrality])&gt;0,L36,NoMetricMessage)</f>
        <v>Not Available</v>
      </c>
    </row>
    <row r="124" spans="1:2" ht="15">
      <c r="A124" s="34" t="s">
        <v>108</v>
      </c>
      <c r="B124" s="48" t="str">
        <f>_xlfn.IFERROR(AVERAGE(Vertices[Closeness Centrality]),NoMetricMessage)</f>
        <v>Not Available</v>
      </c>
    </row>
    <row r="125" spans="1:2" ht="15">
      <c r="A125" s="34" t="s">
        <v>109</v>
      </c>
      <c r="B125" s="48" t="str">
        <f>_xlfn.IFERROR(MEDIAN(Vertices[Closeness Centrality]),NoMetricMessage)</f>
        <v>Not Available</v>
      </c>
    </row>
    <row r="136" spans="1:2" ht="15">
      <c r="A136" s="34" t="s">
        <v>112</v>
      </c>
      <c r="B136" s="48" t="str">
        <f>IF(COUNT(Vertices[Eigenvector Centrality])&gt;0,N2,NoMetricMessage)</f>
        <v>Not Available</v>
      </c>
    </row>
    <row r="137" spans="1:2" ht="15">
      <c r="A137" s="34" t="s">
        <v>113</v>
      </c>
      <c r="B137" s="48" t="str">
        <f>IF(COUNT(Vertices[Eigenvector Centrality])&gt;0,N36,NoMetricMessage)</f>
        <v>Not Available</v>
      </c>
    </row>
    <row r="138" spans="1:2" ht="15">
      <c r="A138" s="34" t="s">
        <v>114</v>
      </c>
      <c r="B138" s="48" t="str">
        <f>_xlfn.IFERROR(AVERAGE(Vertices[Eigenvector Centrality]),NoMetricMessage)</f>
        <v>Not Available</v>
      </c>
    </row>
    <row r="139" spans="1:2" ht="15">
      <c r="A139" s="34" t="s">
        <v>115</v>
      </c>
      <c r="B139" s="48" t="str">
        <f>_xlfn.IFERROR(MEDIAN(Vertices[Eigenvector Centrality]),NoMetricMessage)</f>
        <v>Not Available</v>
      </c>
    </row>
    <row r="150" spans="1:2" ht="15">
      <c r="A150" s="34" t="s">
        <v>140</v>
      </c>
      <c r="B150" s="48" t="str">
        <f>IF(COUNT(Vertices[PageRank])&gt;0,P2,NoMetricMessage)</f>
        <v>Not Available</v>
      </c>
    </row>
    <row r="151" spans="1:2" ht="15">
      <c r="A151" s="34" t="s">
        <v>141</v>
      </c>
      <c r="B151" s="48" t="str">
        <f>IF(COUNT(Vertices[PageRank])&gt;0,P36,NoMetricMessage)</f>
        <v>Not Available</v>
      </c>
    </row>
    <row r="152" spans="1:2" ht="15">
      <c r="A152" s="34" t="s">
        <v>142</v>
      </c>
      <c r="B152" s="48" t="str">
        <f>_xlfn.IFERROR(AVERAGE(Vertices[PageRank]),NoMetricMessage)</f>
        <v>Not Available</v>
      </c>
    </row>
    <row r="153" spans="1:2" ht="15">
      <c r="A153" s="34" t="s">
        <v>143</v>
      </c>
      <c r="B153" s="48" t="str">
        <f>_xlfn.IFERROR(MEDIAN(Vertices[PageRank]),NoMetricMessage)</f>
        <v>Not Available</v>
      </c>
    </row>
    <row r="164" spans="1:2" ht="15">
      <c r="A164" s="34" t="s">
        <v>118</v>
      </c>
      <c r="B164" s="48" t="str">
        <f>IF(COUNT(Vertices[Clustering Coefficient])&gt;0,R2,NoMetricMessage)</f>
        <v>Not Available</v>
      </c>
    </row>
    <row r="165" spans="1:2" ht="15">
      <c r="A165" s="34" t="s">
        <v>119</v>
      </c>
      <c r="B165" s="48" t="str">
        <f>IF(COUNT(Vertices[Clustering Coefficient])&gt;0,R36,NoMetricMessage)</f>
        <v>Not Available</v>
      </c>
    </row>
    <row r="166" spans="1:2" ht="15">
      <c r="A166" s="34" t="s">
        <v>120</v>
      </c>
      <c r="B166" s="48" t="str">
        <f>_xlfn.IFERROR(AVERAGE(Vertices[Clustering Coefficient]),NoMetricMessage)</f>
        <v>Not Available</v>
      </c>
    </row>
    <row r="167" spans="1:2" ht="15">
      <c r="A167" s="34" t="s">
        <v>121</v>
      </c>
      <c r="B167"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79" t="s">
        <v>0</v>
      </c>
      <c r="B2" s="79" t="s">
        <v>1</v>
      </c>
      <c r="C2" s="13" t="s">
        <v>2</v>
      </c>
      <c r="D2" s="13" t="s">
        <v>3</v>
      </c>
      <c r="E2" s="13" t="s">
        <v>130</v>
      </c>
      <c r="F2" s="13" t="s">
        <v>4</v>
      </c>
      <c r="G2" s="13" t="s">
        <v>11</v>
      </c>
      <c r="H2" s="11" t="s">
        <v>46</v>
      </c>
      <c r="I2" s="13" t="s">
        <v>160</v>
      </c>
      <c r="J2" s="13" t="s">
        <v>161</v>
      </c>
      <c r="K2" s="13" t="s">
        <v>165</v>
      </c>
      <c r="L2" s="13" t="s">
        <v>12</v>
      </c>
      <c r="M2" s="13" t="s">
        <v>38</v>
      </c>
      <c r="N2" s="13" t="s">
        <v>26</v>
      </c>
      <c r="O2" s="81" t="s">
        <v>174</v>
      </c>
      <c r="P2" s="81" t="s">
        <v>175</v>
      </c>
      <c r="Q2" s="81" t="s">
        <v>176</v>
      </c>
      <c r="R2" s="81" t="s">
        <v>177</v>
      </c>
      <c r="S2" s="81" t="s">
        <v>178</v>
      </c>
      <c r="T2" s="81" t="s">
        <v>179</v>
      </c>
      <c r="U2" s="81" t="s">
        <v>180</v>
      </c>
      <c r="V2" s="81" t="s">
        <v>181</v>
      </c>
      <c r="W2" s="81" t="s">
        <v>182</v>
      </c>
      <c r="X2" s="81" t="s">
        <v>183</v>
      </c>
      <c r="Y2" s="81" t="s">
        <v>184</v>
      </c>
      <c r="Z2" s="81" t="s">
        <v>185</v>
      </c>
      <c r="AA2" s="81" t="s">
        <v>186</v>
      </c>
      <c r="AB2" s="81" t="s">
        <v>187</v>
      </c>
      <c r="AC2" s="81" t="s">
        <v>188</v>
      </c>
      <c r="AD2" s="81" t="s">
        <v>189</v>
      </c>
      <c r="AE2" s="81" t="s">
        <v>190</v>
      </c>
      <c r="AF2" s="81" t="s">
        <v>191</v>
      </c>
      <c r="AG2" s="81" t="s">
        <v>192</v>
      </c>
      <c r="AH2" s="81" t="s">
        <v>193</v>
      </c>
      <c r="AI2" s="81" t="s">
        <v>194</v>
      </c>
      <c r="AJ2" s="81" t="s">
        <v>195</v>
      </c>
      <c r="AK2" s="81" t="s">
        <v>196</v>
      </c>
      <c r="AL2" s="81" t="s">
        <v>197</v>
      </c>
      <c r="AM2" s="81" t="s">
        <v>198</v>
      </c>
      <c r="AN2" s="81" t="s">
        <v>199</v>
      </c>
      <c r="AO2" s="81" t="s">
        <v>200</v>
      </c>
      <c r="AP2" s="81" t="s">
        <v>201</v>
      </c>
      <c r="AQ2" s="81" t="s">
        <v>202</v>
      </c>
      <c r="AR2" s="81" t="s">
        <v>203</v>
      </c>
      <c r="AS2" s="81" t="s">
        <v>204</v>
      </c>
      <c r="AT2" s="81" t="s">
        <v>205</v>
      </c>
      <c r="AU2" s="81" t="s">
        <v>206</v>
      </c>
      <c r="AV2" s="81" t="s">
        <v>207</v>
      </c>
      <c r="AW2" s="81" t="s">
        <v>208</v>
      </c>
      <c r="AX2" s="81" t="s">
        <v>209</v>
      </c>
      <c r="AY2" s="81" t="s">
        <v>210</v>
      </c>
      <c r="AZ2" s="81" t="s">
        <v>211</v>
      </c>
      <c r="BA2" s="81" t="s">
        <v>212</v>
      </c>
      <c r="BB2" s="81" t="s">
        <v>213</v>
      </c>
      <c r="BC2" t="s">
        <v>273</v>
      </c>
      <c r="BD2" s="13" t="s">
        <v>275</v>
      </c>
      <c r="BE2" s="13" t="s">
        <v>276</v>
      </c>
    </row>
    <row r="3" spans="1:57" ht="15" customHeight="1">
      <c r="A3" s="80"/>
      <c r="B3" s="80"/>
      <c r="C3" s="53"/>
      <c r="D3" s="54"/>
      <c r="E3" s="66"/>
      <c r="F3" s="55"/>
      <c r="G3" s="53"/>
      <c r="H3" s="57"/>
      <c r="I3" s="56"/>
      <c r="J3" s="56"/>
      <c r="K3" s="35"/>
      <c r="L3" s="62">
        <v>3</v>
      </c>
      <c r="M3" s="62"/>
      <c r="N3" s="63"/>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D3" s="81" t="e">
        <f>REPLACE(INDEX(GroupVertices[Group],MATCH(Edges11[[#This Row],[Vertex 1]],GroupVertices[Vertex],0)),1,1,"")</f>
        <v>#N/A</v>
      </c>
      <c r="BE3" s="81" t="e">
        <f>REPLACE(INDEX(GroupVertices[Group],MATCH(Edges11[[#This Row],[Vertex 2]],GroupVertices[Vertex],0)),1,1,"")</f>
        <v>#N/A</v>
      </c>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238</v>
      </c>
      <c r="K7" s="13" t="s">
        <v>239</v>
      </c>
    </row>
    <row r="8" spans="1:11" ht="409.5">
      <c r="A8"/>
      <c r="B8">
        <v>2</v>
      </c>
      <c r="C8">
        <v>2</v>
      </c>
      <c r="D8" t="s">
        <v>61</v>
      </c>
      <c r="E8" t="s">
        <v>61</v>
      </c>
      <c r="H8" t="s">
        <v>73</v>
      </c>
      <c r="J8" t="s">
        <v>240</v>
      </c>
      <c r="K8" s="13" t="s">
        <v>241</v>
      </c>
    </row>
    <row r="9" spans="1:11" ht="409.5">
      <c r="A9"/>
      <c r="B9">
        <v>3</v>
      </c>
      <c r="C9">
        <v>4</v>
      </c>
      <c r="D9" t="s">
        <v>62</v>
      </c>
      <c r="E9" t="s">
        <v>62</v>
      </c>
      <c r="H9" t="s">
        <v>74</v>
      </c>
      <c r="J9" t="s">
        <v>242</v>
      </c>
      <c r="K9" s="13" t="s">
        <v>243</v>
      </c>
    </row>
    <row r="10" spans="1:11" ht="409.5">
      <c r="A10"/>
      <c r="B10">
        <v>4</v>
      </c>
      <c r="D10" t="s">
        <v>63</v>
      </c>
      <c r="E10" t="s">
        <v>63</v>
      </c>
      <c r="H10" t="s">
        <v>75</v>
      </c>
      <c r="J10" t="s">
        <v>244</v>
      </c>
      <c r="K10" s="13" t="s">
        <v>245</v>
      </c>
    </row>
    <row r="11" spans="1:11" ht="15">
      <c r="A11"/>
      <c r="B11">
        <v>5</v>
      </c>
      <c r="D11" t="s">
        <v>46</v>
      </c>
      <c r="E11">
        <v>1</v>
      </c>
      <c r="H11" t="s">
        <v>76</v>
      </c>
      <c r="J11" t="s">
        <v>246</v>
      </c>
      <c r="K11" t="s">
        <v>247</v>
      </c>
    </row>
    <row r="12" spans="1:11" ht="15">
      <c r="A12"/>
      <c r="B12"/>
      <c r="D12" t="s">
        <v>64</v>
      </c>
      <c r="E12">
        <v>2</v>
      </c>
      <c r="H12">
        <v>0</v>
      </c>
      <c r="J12" t="s">
        <v>248</v>
      </c>
      <c r="K12" t="s">
        <v>249</v>
      </c>
    </row>
    <row r="13" spans="1:11" ht="15">
      <c r="A13"/>
      <c r="B13"/>
      <c r="D13">
        <v>1</v>
      </c>
      <c r="E13">
        <v>3</v>
      </c>
      <c r="H13">
        <v>1</v>
      </c>
      <c r="J13" t="s">
        <v>250</v>
      </c>
      <c r="K13" t="s">
        <v>251</v>
      </c>
    </row>
    <row r="14" spans="4:11" ht="15">
      <c r="D14">
        <v>2</v>
      </c>
      <c r="E14">
        <v>4</v>
      </c>
      <c r="H14">
        <v>2</v>
      </c>
      <c r="J14" t="s">
        <v>252</v>
      </c>
      <c r="K14" t="s">
        <v>253</v>
      </c>
    </row>
    <row r="15" spans="4:11" ht="15">
      <c r="D15">
        <v>3</v>
      </c>
      <c r="E15">
        <v>5</v>
      </c>
      <c r="H15">
        <v>3</v>
      </c>
      <c r="J15" t="s">
        <v>254</v>
      </c>
      <c r="K15" t="s">
        <v>255</v>
      </c>
    </row>
    <row r="16" spans="4:11" ht="15">
      <c r="D16">
        <v>4</v>
      </c>
      <c r="E16">
        <v>6</v>
      </c>
      <c r="H16">
        <v>4</v>
      </c>
      <c r="J16" t="s">
        <v>256</v>
      </c>
      <c r="K16" t="s">
        <v>257</v>
      </c>
    </row>
    <row r="17" spans="4:11" ht="15">
      <c r="D17">
        <v>5</v>
      </c>
      <c r="E17">
        <v>7</v>
      </c>
      <c r="H17">
        <v>5</v>
      </c>
      <c r="J17" t="s">
        <v>258</v>
      </c>
      <c r="K17" t="s">
        <v>259</v>
      </c>
    </row>
    <row r="18" spans="4:11" ht="15">
      <c r="D18">
        <v>6</v>
      </c>
      <c r="E18">
        <v>8</v>
      </c>
      <c r="H18">
        <v>6</v>
      </c>
      <c r="J18" t="s">
        <v>260</v>
      </c>
      <c r="K18" t="s">
        <v>261</v>
      </c>
    </row>
    <row r="19" spans="4:11" ht="15">
      <c r="D19">
        <v>7</v>
      </c>
      <c r="E19">
        <v>9</v>
      </c>
      <c r="H19">
        <v>7</v>
      </c>
      <c r="J19" t="s">
        <v>262</v>
      </c>
      <c r="K19" t="s">
        <v>263</v>
      </c>
    </row>
    <row r="20" spans="4:11" ht="15">
      <c r="D20">
        <v>8</v>
      </c>
      <c r="H20">
        <v>8</v>
      </c>
      <c r="J20" t="s">
        <v>264</v>
      </c>
      <c r="K20" t="s">
        <v>265</v>
      </c>
    </row>
    <row r="21" spans="4:11" ht="409.5">
      <c r="D21">
        <v>9</v>
      </c>
      <c r="H21">
        <v>9</v>
      </c>
      <c r="J21" t="s">
        <v>266</v>
      </c>
      <c r="K21" s="13" t="s">
        <v>267</v>
      </c>
    </row>
    <row r="22" spans="4:11" ht="409.5">
      <c r="D22">
        <v>10</v>
      </c>
      <c r="J22" t="s">
        <v>268</v>
      </c>
      <c r="K22" s="13" t="s">
        <v>269</v>
      </c>
    </row>
    <row r="23" spans="4:11" ht="409.5">
      <c r="D23">
        <v>11</v>
      </c>
      <c r="J23" t="s">
        <v>270</v>
      </c>
      <c r="K23" s="13" t="s">
        <v>285</v>
      </c>
    </row>
    <row r="24" spans="10:11" ht="409.5">
      <c r="J24" t="s">
        <v>271</v>
      </c>
      <c r="K24" s="13" t="s">
        <v>284</v>
      </c>
    </row>
    <row r="25" spans="10:11" ht="15">
      <c r="J25" t="s">
        <v>272</v>
      </c>
      <c r="K25" t="b">
        <v>0</v>
      </c>
    </row>
    <row r="26" spans="10:11" ht="15">
      <c r="J26" t="s">
        <v>282</v>
      </c>
      <c r="K26" t="s">
        <v>283</v>
      </c>
    </row>
  </sheetData>
  <printOptions/>
  <pageMargins left="0.7" right="0.7" top="0.75" bottom="0.75" header="0.3" footer="0.3"/>
  <pageSetup horizontalDpi="600" verticalDpi="600" orientation="portrait" r:id="rId4"/>
  <drawing r:id="rId3"/>
  <tableParts>
    <tablePart r:id="rId2"/>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84" t="s">
        <v>279</v>
      </c>
      <c r="B25" t="s">
        <v>278</v>
      </c>
    </row>
    <row r="26" spans="1:2" ht="15">
      <c r="A26" s="85" t="s">
        <v>280</v>
      </c>
      <c r="B26" s="3"/>
    </row>
    <row r="27" spans="1:2" ht="15">
      <c r="A27" s="85" t="s">
        <v>281</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C430B05-5C75-4B3F-BDCA-E43C9757FBF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2021-01-21T01:08:54Z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